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hn McMillan\Documents\"/>
    </mc:Choice>
  </mc:AlternateContent>
  <xr:revisionPtr revIDLastSave="0" documentId="8_{26568E1D-4F26-471F-9102-CF4CA1224707}" xr6:coauthVersionLast="47" xr6:coauthVersionMax="47" xr10:uidLastSave="{00000000-0000-0000-0000-000000000000}"/>
  <bookViews>
    <workbookView xWindow="-28920" yWindow="-120" windowWidth="29040" windowHeight="15720" xr2:uid="{28B719FD-BD75-40C3-865D-8878B0E8A7F1}"/>
  </bookViews>
  <sheets>
    <sheet name="Quarter 4" sheetId="4" r:id="rId1"/>
    <sheet name="Quarter 3" sheetId="3" r:id="rId2"/>
    <sheet name="Quarter 2" sheetId="1" r:id="rId3"/>
    <sheet name="Quarter 1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4" l="1"/>
  <c r="F10" i="4" l="1"/>
  <c r="F9" i="4"/>
  <c r="F7" i="4"/>
  <c r="E7" i="4"/>
  <c r="D21" i="4"/>
  <c r="E21" i="4" s="1"/>
  <c r="F21" i="4" s="1"/>
  <c r="C21" i="4"/>
  <c r="B21" i="4"/>
  <c r="D20" i="4"/>
  <c r="C20" i="4"/>
  <c r="B20" i="4"/>
  <c r="B19" i="4"/>
  <c r="C19" i="4"/>
  <c r="D19" i="4"/>
  <c r="E19" i="4" s="1"/>
  <c r="F19" i="4" s="1"/>
  <c r="F14" i="4"/>
  <c r="F3" i="4"/>
  <c r="E3" i="4"/>
  <c r="E20" i="4"/>
  <c r="F20" i="4" s="1"/>
  <c r="E16" i="4"/>
  <c r="F15" i="4"/>
  <c r="E11" i="4"/>
  <c r="F8" i="4"/>
  <c r="F10" i="3"/>
  <c r="F8" i="3"/>
  <c r="F7" i="3"/>
  <c r="E11" i="3"/>
  <c r="E16" i="3"/>
  <c r="F15" i="3"/>
  <c r="F16" i="3" s="1"/>
  <c r="F11" i="4" l="1"/>
  <c r="F16" i="4"/>
  <c r="F22" i="4"/>
  <c r="E22" i="4"/>
  <c r="E26" i="4" s="1"/>
  <c r="F11" i="3"/>
  <c r="D21" i="3"/>
  <c r="E21" i="3" s="1"/>
  <c r="F21" i="3" s="1"/>
  <c r="C21" i="3"/>
  <c r="B21" i="3"/>
  <c r="D20" i="3"/>
  <c r="E20" i="3" s="1"/>
  <c r="C20" i="3"/>
  <c r="B20" i="3"/>
  <c r="D19" i="3"/>
  <c r="E19" i="3" s="1"/>
  <c r="F19" i="3" s="1"/>
  <c r="C19" i="3"/>
  <c r="B19" i="3"/>
  <c r="C22" i="1"/>
  <c r="B22" i="1"/>
  <c r="E23" i="2"/>
  <c r="F23" i="2" s="1"/>
  <c r="D23" i="2"/>
  <c r="C23" i="2"/>
  <c r="B23" i="2"/>
  <c r="E22" i="2"/>
  <c r="F22" i="2" s="1"/>
  <c r="D22" i="2"/>
  <c r="C22" i="2"/>
  <c r="B22" i="2"/>
  <c r="D21" i="2"/>
  <c r="E21" i="2" s="1"/>
  <c r="C21" i="2"/>
  <c r="B21" i="2"/>
  <c r="F18" i="2"/>
  <c r="E18" i="2"/>
  <c r="F11" i="2"/>
  <c r="E11" i="2"/>
  <c r="F24" i="4" l="1"/>
  <c r="F26" i="4" s="1"/>
  <c r="F20" i="3"/>
  <c r="F22" i="3" s="1"/>
  <c r="E22" i="3"/>
  <c r="E24" i="3" s="1"/>
  <c r="E24" i="2"/>
  <c r="E26" i="2" s="1"/>
  <c r="F21" i="2"/>
  <c r="F24" i="2" s="1"/>
  <c r="F26" i="2" s="1"/>
  <c r="F24" i="3" l="1"/>
  <c r="F10" i="1"/>
  <c r="F11" i="1"/>
  <c r="E13" i="1"/>
  <c r="E17" i="1"/>
  <c r="F17" i="1"/>
  <c r="B20" i="1"/>
  <c r="C20" i="1"/>
  <c r="D20" i="1"/>
  <c r="E20" i="1" s="1"/>
  <c r="B21" i="1"/>
  <c r="C21" i="1"/>
  <c r="D21" i="1"/>
  <c r="E21" i="1" s="1"/>
  <c r="F21" i="1" s="1"/>
  <c r="E22" i="1"/>
  <c r="F22" i="1" s="1"/>
  <c r="F13" i="1" l="1"/>
  <c r="F20" i="1"/>
  <c r="F23" i="1" s="1"/>
  <c r="F25" i="1" s="1"/>
  <c r="F27" i="1" s="1"/>
  <c r="F3" i="3" s="1"/>
  <c r="F26" i="3" s="1"/>
  <c r="E23" i="1"/>
  <c r="E25" i="1" s="1"/>
  <c r="E27" i="1" s="1"/>
  <c r="E3" i="3" s="1"/>
  <c r="E26" i="3" s="1"/>
</calcChain>
</file>

<file path=xl/sharedStrings.xml><?xml version="1.0" encoding="utf-8"?>
<sst xmlns="http://schemas.openxmlformats.org/spreadsheetml/2006/main" count="198" uniqueCount="78">
  <si>
    <t>TOTAL</t>
  </si>
  <si>
    <t>Year to Date Draft Total</t>
  </si>
  <si>
    <t>Quarter 2 Draft Totals</t>
  </si>
  <si>
    <t>Suggested Offset</t>
  </si>
  <si>
    <t>Metric tonne of CO2</t>
  </si>
  <si>
    <t>Total Minutes</t>
  </si>
  <si>
    <t>Total Participants</t>
  </si>
  <si>
    <t>No of Meetings</t>
  </si>
  <si>
    <t>Zoom Meetings</t>
  </si>
  <si>
    <t>Flights</t>
  </si>
  <si>
    <t>NTW - Dublin to Prague</t>
  </si>
  <si>
    <t>NRG</t>
  </si>
  <si>
    <t>Metric tonnes of CO2</t>
  </si>
  <si>
    <t>Method</t>
  </si>
  <si>
    <t>Details</t>
  </si>
  <si>
    <t>Month</t>
  </si>
  <si>
    <t>Grant / CDF Recipient</t>
  </si>
  <si>
    <t>Staff Meeting in Penrith</t>
  </si>
  <si>
    <t>AP</t>
  </si>
  <si>
    <t>Train</t>
  </si>
  <si>
    <t>SLM/JLM/PW</t>
  </si>
  <si>
    <t>JMC / WK</t>
  </si>
  <si>
    <t>Car</t>
  </si>
  <si>
    <t>MP</t>
  </si>
  <si>
    <t>SMCM/AC/EO</t>
  </si>
  <si>
    <t>Dublin Policy Event</t>
  </si>
  <si>
    <t>JLM / SMCM</t>
  </si>
  <si>
    <t>Suggested Offset*</t>
  </si>
  <si>
    <t>Staff Member(s)</t>
  </si>
  <si>
    <t>Quarter 2 Draft Figures</t>
  </si>
  <si>
    <t>Quarter 1 Draft Totals</t>
  </si>
  <si>
    <t>Carbon Footprint Calculation - 2023/24</t>
  </si>
  <si>
    <t>PW</t>
  </si>
  <si>
    <t>Aug / Sept 23</t>
  </si>
  <si>
    <t>Aus / NZ Roadshow</t>
  </si>
  <si>
    <t>WK, SMCM, AC</t>
  </si>
  <si>
    <t>iPres 2023 Urbana Champaign</t>
  </si>
  <si>
    <t>SLM</t>
  </si>
  <si>
    <t>IASA Conference Istanbul</t>
  </si>
  <si>
    <t>SLM / AC</t>
  </si>
  <si>
    <t>IRMS / ARA Dublin</t>
  </si>
  <si>
    <t>JLM</t>
  </si>
  <si>
    <t>Presentation in Stockholm</t>
  </si>
  <si>
    <t>Panel in Hamburg</t>
  </si>
  <si>
    <t>JE</t>
  </si>
  <si>
    <t>iPres (Kenya to Chicago)</t>
  </si>
  <si>
    <t>GK</t>
  </si>
  <si>
    <t>OS</t>
  </si>
  <si>
    <t>iPres (Vancouver to Chicago)</t>
  </si>
  <si>
    <t>AOH</t>
  </si>
  <si>
    <t>iPres (Belfast to Chicago)</t>
  </si>
  <si>
    <t>Quarter 3 Draft Figures</t>
  </si>
  <si>
    <t>Six Month Draft Totals</t>
  </si>
  <si>
    <t>IDCC</t>
  </si>
  <si>
    <t>Egypt to Edinburgh</t>
  </si>
  <si>
    <t>Flight</t>
  </si>
  <si>
    <t>IIPC</t>
  </si>
  <si>
    <t>Geneva to Paris</t>
  </si>
  <si>
    <t>AJ</t>
  </si>
  <si>
    <t>WK</t>
  </si>
  <si>
    <t>WK &amp; KW</t>
  </si>
  <si>
    <t>Paris for Conference</t>
  </si>
  <si>
    <t>Dublin for Event</t>
  </si>
  <si>
    <t>Edinburgh for Conference</t>
  </si>
  <si>
    <t>London for Meeting</t>
  </si>
  <si>
    <t>Quarter 3 Draft Totals</t>
  </si>
  <si>
    <t>Nine Month Draft Totals</t>
  </si>
  <si>
    <t>Quarter 4 Draft Totals</t>
  </si>
  <si>
    <t>Quarter 4 Draft Figures</t>
  </si>
  <si>
    <t>9 members of staff</t>
  </si>
  <si>
    <t>Melbourne to Dublin / Return</t>
  </si>
  <si>
    <t>RW</t>
  </si>
  <si>
    <t>A Perricci</t>
  </si>
  <si>
    <t>Boston to Edinburgh</t>
  </si>
  <si>
    <t>M Popham</t>
  </si>
  <si>
    <t>Oxford to Southampton</t>
  </si>
  <si>
    <t>*Suggested offset is an estimate at this stage and not something we need to commit too at moment.</t>
  </si>
  <si>
    <t>Quarter 1 Draft Figures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</si>
</sst>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164" formatCode="&quot;£&quot;#,##0.00"/>
    <numFmt numFmtId="165" formatCode="0.000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1" fillId="0" borderId="0" xfId="0" applyNumberFormat="1" applyFont="1"/>
    <xf numFmtId="165" fontId="1" fillId="0" borderId="0" xfId="0" applyNumberFormat="1" applyFont="1"/>
    <xf numFmtId="0" fontId="1" fillId="0" borderId="0" xfId="0" applyFont="1"/>
    <xf numFmtId="164" fontId="0" fillId="0" borderId="0" xfId="0" applyNumberFormat="1"/>
    <xf numFmtId="165" fontId="0" fillId="0" borderId="0" xfId="0" applyNumberFormat="1"/>
    <xf numFmtId="17" fontId="0" fillId="0" borderId="0" xfId="0" applyNumberFormat="1" applyAlignment="1">
      <alignment horizontal="left"/>
    </xf>
    <xf numFmtId="8" fontId="0" fillId="0" borderId="0" xfId="0" applyNumberFormat="1"/>
    <xf numFmtId="8" fontId="1" fillId="0" borderId="0" xfId="0" applyNumberFormat="1" applyFont="1"/>
    <xf numFmtId="0" fontId="2" fillId="2" borderId="0" xfId="0" applyFont="1" applyFill="1"/>
    <xf numFmtId="0" fontId="0" fillId="2" borderId="0" xfId="0" applyFill="1"/>
    <xf numFmtId="0" fontId="2" fillId="2" borderId="3" xfId="0" applyFont="1" applyFill="1" applyBorder="1"/>
    <xf numFmtId="0" fontId="2" fillId="2" borderId="2" xfId="0" applyFont="1" applyFill="1" applyBorder="1"/>
    <xf numFmtId="165" fontId="2" fillId="2" borderId="2" xfId="0" applyNumberFormat="1" applyFont="1" applyFill="1" applyBorder="1"/>
    <xf numFmtId="164" fontId="2" fillId="2" borderId="1" xfId="0" applyNumberFormat="1" applyFont="1" applyFill="1" applyBorder="1"/>
    <xf numFmtId="165" fontId="2" fillId="2" borderId="0" xfId="0" applyNumberFormat="1" applyFont="1" applyFill="1"/>
    <xf numFmtId="164" fontId="2" fillId="2" borderId="0" xfId="0" applyNumberFormat="1" applyFont="1" applyFill="1"/>
    <xf numFmtId="0" fontId="3" fillId="2" borderId="2" xfId="0" applyFont="1" applyFill="1" applyBorder="1"/>
    <xf numFmtId="0" fontId="4" fillId="0" borderId="0" xfId="0" applyFont="1" applyFill="1"/>
    <xf numFmtId="0" fontId="5" fillId="0" borderId="0" xfId="0" applyFont="1" applyFill="1"/>
    <xf numFmtId="165" fontId="5" fillId="0" borderId="0" xfId="0" applyNumberFormat="1" applyFont="1" applyFill="1"/>
    <xf numFmtId="164" fontId="5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CE1D3-75FB-4004-926D-719E540F1007}">
  <dimension ref="A1:F28"/>
  <sheetViews>
    <sheetView tabSelected="1" workbookViewId="0">
      <selection activeCell="C34" sqref="C34"/>
    </sheetView>
  </sheetViews>
  <sheetFormatPr defaultRowHeight="14.4" x14ac:dyDescent="0.3"/>
  <cols>
    <col min="1" max="1" width="22.5546875" customWidth="1"/>
    <col min="2" max="2" width="16" customWidth="1"/>
    <col min="3" max="3" width="27.21875" customWidth="1"/>
    <col min="4" max="4" width="14.21875" customWidth="1"/>
    <col min="5" max="5" width="22.6640625" customWidth="1"/>
    <col min="6" max="6" width="33.21875" customWidth="1"/>
  </cols>
  <sheetData>
    <row r="1" spans="1:6" x14ac:dyDescent="0.3">
      <c r="A1" s="9" t="s">
        <v>31</v>
      </c>
      <c r="B1" s="10"/>
      <c r="C1" s="10"/>
      <c r="D1" s="10"/>
      <c r="E1" s="10"/>
      <c r="F1" s="10"/>
    </row>
    <row r="3" spans="1:6" x14ac:dyDescent="0.3">
      <c r="A3" s="11" t="s">
        <v>66</v>
      </c>
      <c r="B3" s="12"/>
      <c r="C3" s="12"/>
      <c r="D3" s="12" t="s">
        <v>0</v>
      </c>
      <c r="E3" s="13">
        <f>'Quarter 3'!E26</f>
        <v>24.616075833333333</v>
      </c>
      <c r="F3" s="14">
        <f>'Quarter 3'!F26</f>
        <v>312.80323963333331</v>
      </c>
    </row>
    <row r="4" spans="1:6" x14ac:dyDescent="0.3">
      <c r="A4" s="3"/>
      <c r="B4" s="3"/>
      <c r="C4" s="3"/>
      <c r="D4" s="3"/>
      <c r="E4" s="2"/>
      <c r="F4" s="1"/>
    </row>
    <row r="5" spans="1:6" x14ac:dyDescent="0.3">
      <c r="A5" s="9" t="s">
        <v>68</v>
      </c>
      <c r="B5" s="9"/>
      <c r="C5" s="9"/>
      <c r="D5" s="9"/>
      <c r="E5" s="15"/>
      <c r="F5" s="16"/>
    </row>
    <row r="6" spans="1:6" x14ac:dyDescent="0.3">
      <c r="A6" s="3" t="s">
        <v>28</v>
      </c>
      <c r="B6" s="3" t="s">
        <v>15</v>
      </c>
      <c r="C6" s="3" t="s">
        <v>14</v>
      </c>
      <c r="D6" s="3" t="s">
        <v>13</v>
      </c>
      <c r="E6" s="3" t="s">
        <v>12</v>
      </c>
      <c r="F6" s="3" t="s">
        <v>27</v>
      </c>
    </row>
    <row r="7" spans="1:6" x14ac:dyDescent="0.3">
      <c r="A7" t="s">
        <v>69</v>
      </c>
      <c r="B7" s="6">
        <v>45413</v>
      </c>
      <c r="C7" t="s">
        <v>62</v>
      </c>
      <c r="D7" t="s">
        <v>55</v>
      </c>
      <c r="E7">
        <f>0.09*9</f>
        <v>0.80999999999999994</v>
      </c>
      <c r="F7" s="7">
        <f>1.15*9</f>
        <v>10.35</v>
      </c>
    </row>
    <row r="8" spans="1:6" x14ac:dyDescent="0.3">
      <c r="A8" t="s">
        <v>71</v>
      </c>
      <c r="B8" s="6">
        <v>45413</v>
      </c>
      <c r="C8" t="s">
        <v>70</v>
      </c>
      <c r="D8" t="s">
        <v>55</v>
      </c>
      <c r="E8">
        <v>4.71</v>
      </c>
      <c r="F8" s="4">
        <f t="shared" ref="F8:F9" si="0">E8*12.76</f>
        <v>60.099599999999995</v>
      </c>
    </row>
    <row r="9" spans="1:6" x14ac:dyDescent="0.3">
      <c r="A9" t="s">
        <v>74</v>
      </c>
      <c r="B9" s="6">
        <v>45444</v>
      </c>
      <c r="C9" t="s">
        <v>75</v>
      </c>
      <c r="D9" t="s">
        <v>22</v>
      </c>
      <c r="E9">
        <v>0.03</v>
      </c>
      <c r="F9" s="4">
        <f t="shared" si="0"/>
        <v>0.38279999999999997</v>
      </c>
    </row>
    <row r="10" spans="1:6" x14ac:dyDescent="0.3">
      <c r="A10" t="s">
        <v>72</v>
      </c>
      <c r="B10" s="6">
        <v>45474</v>
      </c>
      <c r="C10" t="s">
        <v>73</v>
      </c>
      <c r="D10" t="s">
        <v>55</v>
      </c>
      <c r="E10">
        <v>2.08</v>
      </c>
      <c r="F10" s="4">
        <f t="shared" ref="F10" si="1">E10*12.76</f>
        <v>26.540800000000001</v>
      </c>
    </row>
    <row r="11" spans="1:6" x14ac:dyDescent="0.3">
      <c r="D11" s="3" t="s">
        <v>0</v>
      </c>
      <c r="E11" s="3">
        <f>SUM(E7:E10)</f>
        <v>7.63</v>
      </c>
      <c r="F11" s="8">
        <f>SUM(F7:F10)</f>
        <v>97.373199999999997</v>
      </c>
    </row>
    <row r="13" spans="1:6" x14ac:dyDescent="0.3">
      <c r="A13" s="3" t="s">
        <v>16</v>
      </c>
      <c r="B13" s="3" t="s">
        <v>15</v>
      </c>
      <c r="C13" s="3" t="s">
        <v>14</v>
      </c>
      <c r="D13" s="3" t="s">
        <v>13</v>
      </c>
      <c r="E13" s="3" t="s">
        <v>12</v>
      </c>
      <c r="F13" s="3" t="s">
        <v>3</v>
      </c>
    </row>
    <row r="14" spans="1:6" x14ac:dyDescent="0.3">
      <c r="B14" s="6"/>
      <c r="E14">
        <v>0</v>
      </c>
      <c r="F14" s="4">
        <f>E14*12.76</f>
        <v>0</v>
      </c>
    </row>
    <row r="15" spans="1:6" x14ac:dyDescent="0.3">
      <c r="B15" s="6"/>
      <c r="E15">
        <v>0</v>
      </c>
      <c r="F15" s="4">
        <f>E15*12.76</f>
        <v>0</v>
      </c>
    </row>
    <row r="16" spans="1:6" x14ac:dyDescent="0.3">
      <c r="D16" s="3" t="s">
        <v>0</v>
      </c>
      <c r="E16" s="3">
        <f>SUM(E14:E15)</f>
        <v>0</v>
      </c>
      <c r="F16" s="1">
        <f>SUM(F14:F15)</f>
        <v>0</v>
      </c>
    </row>
    <row r="18" spans="1:6" x14ac:dyDescent="0.3">
      <c r="A18" s="3" t="s">
        <v>8</v>
      </c>
      <c r="B18" s="3" t="s">
        <v>7</v>
      </c>
      <c r="C18" s="3" t="s">
        <v>6</v>
      </c>
      <c r="D18" s="3" t="s">
        <v>5</v>
      </c>
      <c r="E18" s="3" t="s">
        <v>4</v>
      </c>
      <c r="F18" s="3" t="s">
        <v>3</v>
      </c>
    </row>
    <row r="19" spans="1:6" x14ac:dyDescent="0.3">
      <c r="A19" s="6">
        <v>45413</v>
      </c>
      <c r="B19">
        <f>61+57</f>
        <v>118</v>
      </c>
      <c r="C19">
        <f>454+334</f>
        <v>788</v>
      </c>
      <c r="D19">
        <f>3603+2654</f>
        <v>6257</v>
      </c>
      <c r="E19" s="5">
        <f>((D19/60)*0.05)*0.001</f>
        <v>5.2141666666666673E-3</v>
      </c>
      <c r="F19" s="4">
        <f>E19*12.76</f>
        <v>6.6532766666666673E-2</v>
      </c>
    </row>
    <row r="20" spans="1:6" x14ac:dyDescent="0.3">
      <c r="A20" s="6">
        <v>45444</v>
      </c>
      <c r="B20">
        <f>45+57</f>
        <v>102</v>
      </c>
      <c r="C20">
        <f>373+348</f>
        <v>721</v>
      </c>
      <c r="D20">
        <f>2797+2657</f>
        <v>5454</v>
      </c>
      <c r="E20" s="5">
        <f>((D20/60)*0.05)*0.001</f>
        <v>4.5450000000000013E-3</v>
      </c>
      <c r="F20" s="4">
        <f>E20*12.76</f>
        <v>5.7994200000000017E-2</v>
      </c>
    </row>
    <row r="21" spans="1:6" x14ac:dyDescent="0.3">
      <c r="A21" s="6">
        <v>45474</v>
      </c>
      <c r="B21">
        <f>28+59</f>
        <v>87</v>
      </c>
      <c r="C21">
        <f>332+530</f>
        <v>862</v>
      </c>
      <c r="D21">
        <f>1696+2895</f>
        <v>4591</v>
      </c>
      <c r="E21" s="5">
        <f>((D21/60)*0.05)*0.001</f>
        <v>3.8258333333333339E-3</v>
      </c>
      <c r="F21" s="4">
        <f>E21*12.76</f>
        <v>4.8817633333333339E-2</v>
      </c>
    </row>
    <row r="22" spans="1:6" x14ac:dyDescent="0.3">
      <c r="D22" s="3" t="s">
        <v>0</v>
      </c>
      <c r="E22" s="2">
        <f>SUM(E18:E21)</f>
        <v>1.3585000000000003E-2</v>
      </c>
      <c r="F22" s="1">
        <f>SUM(F18:F21)</f>
        <v>0.17334460000000002</v>
      </c>
    </row>
    <row r="23" spans="1:6" x14ac:dyDescent="0.3">
      <c r="A23" s="18"/>
      <c r="B23" s="18"/>
      <c r="C23" s="18"/>
      <c r="D23" s="19"/>
      <c r="E23" s="20"/>
      <c r="F23" s="21"/>
    </row>
    <row r="24" spans="1:6" x14ac:dyDescent="0.3">
      <c r="A24" s="11" t="s">
        <v>67</v>
      </c>
      <c r="B24" s="12"/>
      <c r="C24" s="12"/>
      <c r="D24" s="12" t="s">
        <v>0</v>
      </c>
      <c r="E24" s="13">
        <f>E11+E16+E22</f>
        <v>7.6435849999999999</v>
      </c>
      <c r="F24" s="14">
        <f>F11+F16+F22</f>
        <v>97.54654459999999</v>
      </c>
    </row>
    <row r="25" spans="1:6" x14ac:dyDescent="0.3">
      <c r="D25" s="3"/>
      <c r="E25" s="2"/>
      <c r="F25" s="1"/>
    </row>
    <row r="26" spans="1:6" x14ac:dyDescent="0.3">
      <c r="A26" s="11" t="s">
        <v>1</v>
      </c>
      <c r="B26" s="17"/>
      <c r="C26" s="17"/>
      <c r="D26" s="12" t="s">
        <v>0</v>
      </c>
      <c r="E26" s="13">
        <f>E3+E24</f>
        <v>32.259660833333335</v>
      </c>
      <c r="F26" s="14">
        <f>F3+F24</f>
        <v>410.34978423333331</v>
      </c>
    </row>
    <row r="28" spans="1:6" x14ac:dyDescent="0.3">
      <c r="A28" t="s">
        <v>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5DA8-2090-4B0A-B9C0-20015A2AC9D1}">
  <dimension ref="A1:F28"/>
  <sheetViews>
    <sheetView workbookViewId="0">
      <selection activeCell="C30" sqref="C30"/>
    </sheetView>
  </sheetViews>
  <sheetFormatPr defaultRowHeight="14.4" x14ac:dyDescent="0.3"/>
  <cols>
    <col min="1" max="1" width="22.5546875" customWidth="1"/>
    <col min="2" max="2" width="16" customWidth="1"/>
    <col min="3" max="3" width="27.21875" customWidth="1"/>
    <col min="4" max="4" width="14.21875" customWidth="1"/>
    <col min="5" max="5" width="22.6640625" customWidth="1"/>
    <col min="6" max="6" width="33.21875" customWidth="1"/>
  </cols>
  <sheetData>
    <row r="1" spans="1:6" x14ac:dyDescent="0.3">
      <c r="A1" s="9" t="s">
        <v>31</v>
      </c>
      <c r="B1" s="10"/>
      <c r="C1" s="10"/>
      <c r="D1" s="10"/>
      <c r="E1" s="10"/>
      <c r="F1" s="10"/>
    </row>
    <row r="3" spans="1:6" x14ac:dyDescent="0.3">
      <c r="A3" s="11" t="s">
        <v>52</v>
      </c>
      <c r="B3" s="12"/>
      <c r="C3" s="12"/>
      <c r="D3" s="12" t="s">
        <v>0</v>
      </c>
      <c r="E3" s="13">
        <f>'Quarter 2'!E27</f>
        <v>23.395687500000001</v>
      </c>
      <c r="F3" s="14">
        <f>'Quarter 2'!F27</f>
        <v>297.17548449999998</v>
      </c>
    </row>
    <row r="4" spans="1:6" x14ac:dyDescent="0.3">
      <c r="A4" s="3"/>
      <c r="B4" s="3"/>
      <c r="C4" s="3"/>
      <c r="D4" s="3"/>
      <c r="E4" s="2"/>
      <c r="F4" s="1"/>
    </row>
    <row r="5" spans="1:6" x14ac:dyDescent="0.3">
      <c r="A5" s="9" t="s">
        <v>51</v>
      </c>
      <c r="B5" s="9"/>
      <c r="C5" s="9"/>
      <c r="D5" s="9"/>
      <c r="E5" s="15"/>
      <c r="F5" s="16"/>
    </row>
    <row r="6" spans="1:6" x14ac:dyDescent="0.3">
      <c r="A6" s="3" t="s">
        <v>28</v>
      </c>
      <c r="B6" s="3" t="s">
        <v>15</v>
      </c>
      <c r="C6" s="3" t="s">
        <v>14</v>
      </c>
      <c r="D6" s="3" t="s">
        <v>13</v>
      </c>
      <c r="E6" s="3" t="s">
        <v>12</v>
      </c>
      <c r="F6" s="3" t="s">
        <v>27</v>
      </c>
    </row>
    <row r="7" spans="1:6" x14ac:dyDescent="0.3">
      <c r="A7" t="s">
        <v>59</v>
      </c>
      <c r="B7" s="6">
        <v>45323</v>
      </c>
      <c r="C7" t="s">
        <v>63</v>
      </c>
      <c r="D7" t="s">
        <v>19</v>
      </c>
      <c r="E7">
        <v>3.0000000000000001E-3</v>
      </c>
      <c r="F7" s="4">
        <f t="shared" ref="F7:F8" si="0">E7*12.76</f>
        <v>3.8280000000000002E-2</v>
      </c>
    </row>
    <row r="8" spans="1:6" x14ac:dyDescent="0.3">
      <c r="A8" t="s">
        <v>58</v>
      </c>
      <c r="B8" s="6">
        <v>45383</v>
      </c>
      <c r="C8" t="s">
        <v>61</v>
      </c>
      <c r="D8" t="s">
        <v>19</v>
      </c>
      <c r="E8">
        <v>5.0000000000000001E-3</v>
      </c>
      <c r="F8" s="4">
        <f t="shared" si="0"/>
        <v>6.3799999999999996E-2</v>
      </c>
    </row>
    <row r="9" spans="1:6" x14ac:dyDescent="0.3">
      <c r="A9" t="s">
        <v>59</v>
      </c>
      <c r="B9" s="6">
        <v>45383</v>
      </c>
      <c r="C9" t="s">
        <v>62</v>
      </c>
      <c r="D9" t="s">
        <v>55</v>
      </c>
      <c r="E9">
        <v>0.09</v>
      </c>
      <c r="F9" s="7">
        <v>1.1499999999999999</v>
      </c>
    </row>
    <row r="10" spans="1:6" x14ac:dyDescent="0.3">
      <c r="A10" t="s">
        <v>60</v>
      </c>
      <c r="B10" s="6">
        <v>45383</v>
      </c>
      <c r="C10" t="s">
        <v>64</v>
      </c>
      <c r="D10" t="s">
        <v>19</v>
      </c>
      <c r="E10">
        <v>5.0000000000000001E-3</v>
      </c>
      <c r="F10" s="4">
        <f>E10*12.76</f>
        <v>6.3799999999999996E-2</v>
      </c>
    </row>
    <row r="11" spans="1:6" x14ac:dyDescent="0.3">
      <c r="D11" s="3" t="s">
        <v>0</v>
      </c>
      <c r="E11" s="3">
        <f>SUM(E7:E10)</f>
        <v>0.10300000000000001</v>
      </c>
      <c r="F11" s="8">
        <f>SUM(F7:F10)</f>
        <v>1.3158799999999999</v>
      </c>
    </row>
    <row r="13" spans="1:6" x14ac:dyDescent="0.3">
      <c r="A13" s="3" t="s">
        <v>16</v>
      </c>
      <c r="B13" s="3" t="s">
        <v>15</v>
      </c>
      <c r="C13" s="3" t="s">
        <v>14</v>
      </c>
      <c r="D13" s="3" t="s">
        <v>13</v>
      </c>
      <c r="E13" s="3" t="s">
        <v>12</v>
      </c>
      <c r="F13" s="3" t="s">
        <v>3</v>
      </c>
    </row>
    <row r="14" spans="1:6" x14ac:dyDescent="0.3">
      <c r="A14" t="s">
        <v>53</v>
      </c>
      <c r="B14" s="6">
        <v>45323</v>
      </c>
      <c r="C14" t="s">
        <v>54</v>
      </c>
      <c r="D14" t="s">
        <v>55</v>
      </c>
      <c r="E14">
        <v>1.1000000000000001</v>
      </c>
      <c r="F14" s="7">
        <v>14.09</v>
      </c>
    </row>
    <row r="15" spans="1:6" x14ac:dyDescent="0.3">
      <c r="A15" t="s">
        <v>56</v>
      </c>
      <c r="B15" s="6">
        <v>45383</v>
      </c>
      <c r="C15" t="s">
        <v>57</v>
      </c>
      <c r="D15" t="s">
        <v>19</v>
      </c>
      <c r="E15">
        <v>5.0000000000000001E-3</v>
      </c>
      <c r="F15" s="4">
        <f>E15*12.76</f>
        <v>6.3799999999999996E-2</v>
      </c>
    </row>
    <row r="16" spans="1:6" x14ac:dyDescent="0.3">
      <c r="D16" s="3" t="s">
        <v>0</v>
      </c>
      <c r="E16" s="3">
        <f>SUM(E14:E15)</f>
        <v>1.105</v>
      </c>
      <c r="F16" s="1">
        <f>SUM(F14:F15)</f>
        <v>14.1538</v>
      </c>
    </row>
    <row r="18" spans="1:6" x14ac:dyDescent="0.3">
      <c r="A18" s="3" t="s">
        <v>8</v>
      </c>
      <c r="B18" s="3" t="s">
        <v>7</v>
      </c>
      <c r="C18" s="3" t="s">
        <v>6</v>
      </c>
      <c r="D18" s="3" t="s">
        <v>5</v>
      </c>
      <c r="E18" s="3" t="s">
        <v>4</v>
      </c>
      <c r="F18" s="3" t="s">
        <v>3</v>
      </c>
    </row>
    <row r="19" spans="1:6" x14ac:dyDescent="0.3">
      <c r="A19" s="6">
        <v>45323</v>
      </c>
      <c r="B19">
        <f>41+52</f>
        <v>93</v>
      </c>
      <c r="C19">
        <f>942+533</f>
        <v>1475</v>
      </c>
      <c r="D19">
        <f>2473+2543</f>
        <v>5016</v>
      </c>
      <c r="E19" s="5">
        <f>((D19/60)*0.05)*0.001</f>
        <v>4.1799999999999997E-3</v>
      </c>
      <c r="F19" s="4">
        <f>E19*12.76</f>
        <v>5.3336799999999997E-2</v>
      </c>
    </row>
    <row r="20" spans="1:6" x14ac:dyDescent="0.3">
      <c r="A20" s="6">
        <v>45352</v>
      </c>
      <c r="B20">
        <f>45+52</f>
        <v>97</v>
      </c>
      <c r="C20">
        <f>640+409</f>
        <v>1049</v>
      </c>
      <c r="D20">
        <f>2967+2466</f>
        <v>5433</v>
      </c>
      <c r="E20" s="5">
        <f>((D20/60)*0.05)*0.001</f>
        <v>4.5275000000000003E-3</v>
      </c>
      <c r="F20" s="4">
        <f>E20*12.76</f>
        <v>5.77709E-2</v>
      </c>
    </row>
    <row r="21" spans="1:6" x14ac:dyDescent="0.3">
      <c r="A21" s="6">
        <v>45383</v>
      </c>
      <c r="B21">
        <f>33+57</f>
        <v>90</v>
      </c>
      <c r="C21">
        <f>240+436</f>
        <v>676</v>
      </c>
      <c r="D21">
        <f>1745+2672</f>
        <v>4417</v>
      </c>
      <c r="E21" s="5">
        <f>((D21/60)*0.05)*0.001</f>
        <v>3.6808333333333333E-3</v>
      </c>
      <c r="F21" s="4">
        <f>E21*12.76</f>
        <v>4.6967433333333329E-2</v>
      </c>
    </row>
    <row r="22" spans="1:6" x14ac:dyDescent="0.3">
      <c r="D22" s="3" t="s">
        <v>0</v>
      </c>
      <c r="E22" s="2">
        <f>SUM(E18:E21)</f>
        <v>1.2388333333333333E-2</v>
      </c>
      <c r="F22" s="1">
        <f>SUM(F18:F21)</f>
        <v>0.15807513333333334</v>
      </c>
    </row>
    <row r="23" spans="1:6" x14ac:dyDescent="0.3">
      <c r="D23" s="3"/>
      <c r="E23" s="2"/>
      <c r="F23" s="1"/>
    </row>
    <row r="24" spans="1:6" x14ac:dyDescent="0.3">
      <c r="A24" s="11" t="s">
        <v>65</v>
      </c>
      <c r="B24" s="12"/>
      <c r="C24" s="12"/>
      <c r="D24" s="12" t="s">
        <v>0</v>
      </c>
      <c r="E24" s="13">
        <f>E11+E16+E22</f>
        <v>1.2203883333333332</v>
      </c>
      <c r="F24" s="14">
        <f>F11+F16+F22</f>
        <v>15.627755133333334</v>
      </c>
    </row>
    <row r="25" spans="1:6" x14ac:dyDescent="0.3">
      <c r="D25" s="3"/>
      <c r="E25" s="2"/>
      <c r="F25" s="1"/>
    </row>
    <row r="26" spans="1:6" x14ac:dyDescent="0.3">
      <c r="A26" s="11" t="s">
        <v>1</v>
      </c>
      <c r="B26" s="17"/>
      <c r="C26" s="17"/>
      <c r="D26" s="12" t="s">
        <v>0</v>
      </c>
      <c r="E26" s="13">
        <f>E3+E24</f>
        <v>24.616075833333333</v>
      </c>
      <c r="F26" s="14">
        <f>F3+F24</f>
        <v>312.80323963333331</v>
      </c>
    </row>
    <row r="28" spans="1:6" x14ac:dyDescent="0.3">
      <c r="A28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DD4EB-913A-4F6B-A042-793BBAE39EE7}">
  <dimension ref="A1:F29"/>
  <sheetViews>
    <sheetView workbookViewId="0">
      <selection activeCell="A5" sqref="A5:F5"/>
    </sheetView>
  </sheetViews>
  <sheetFormatPr defaultRowHeight="14.4" x14ac:dyDescent="0.3"/>
  <cols>
    <col min="1" max="1" width="22.5546875" customWidth="1"/>
    <col min="2" max="2" width="16" customWidth="1"/>
    <col min="3" max="3" width="27.21875" customWidth="1"/>
    <col min="4" max="4" width="14.21875" customWidth="1"/>
    <col min="5" max="5" width="22.6640625" customWidth="1"/>
    <col min="6" max="6" width="33.21875" customWidth="1"/>
  </cols>
  <sheetData>
    <row r="1" spans="1:6" x14ac:dyDescent="0.3">
      <c r="A1" s="9" t="s">
        <v>31</v>
      </c>
      <c r="B1" s="10"/>
      <c r="C1" s="10"/>
      <c r="D1" s="10"/>
      <c r="E1" s="10"/>
      <c r="F1" s="10"/>
    </row>
    <row r="3" spans="1:6" x14ac:dyDescent="0.3">
      <c r="A3" s="11" t="s">
        <v>30</v>
      </c>
      <c r="B3" s="12"/>
      <c r="C3" s="12"/>
      <c r="D3" s="12" t="s">
        <v>0</v>
      </c>
      <c r="E3" s="13">
        <v>22.3888</v>
      </c>
      <c r="F3" s="14">
        <v>284.49</v>
      </c>
    </row>
    <row r="4" spans="1:6" x14ac:dyDescent="0.3">
      <c r="A4" s="3"/>
      <c r="B4" s="3"/>
      <c r="C4" s="3"/>
      <c r="D4" s="3"/>
      <c r="E4" s="2"/>
      <c r="F4" s="1"/>
    </row>
    <row r="5" spans="1:6" x14ac:dyDescent="0.3">
      <c r="A5" s="9" t="s">
        <v>29</v>
      </c>
      <c r="B5" s="9"/>
      <c r="C5" s="9"/>
      <c r="D5" s="9"/>
      <c r="E5" s="15"/>
      <c r="F5" s="16"/>
    </row>
    <row r="6" spans="1:6" x14ac:dyDescent="0.3">
      <c r="A6" s="3" t="s">
        <v>28</v>
      </c>
      <c r="B6" s="3" t="s">
        <v>15</v>
      </c>
      <c r="C6" s="3" t="s">
        <v>14</v>
      </c>
      <c r="D6" s="3" t="s">
        <v>13</v>
      </c>
      <c r="E6" s="3" t="s">
        <v>12</v>
      </c>
      <c r="F6" s="3" t="s">
        <v>27</v>
      </c>
    </row>
    <row r="7" spans="1:6" x14ac:dyDescent="0.3">
      <c r="A7" t="s">
        <v>26</v>
      </c>
      <c r="B7" s="6">
        <v>45231</v>
      </c>
      <c r="C7" t="s">
        <v>25</v>
      </c>
      <c r="D7" t="s">
        <v>9</v>
      </c>
      <c r="E7">
        <v>0.18</v>
      </c>
      <c r="F7" s="7">
        <v>2.27</v>
      </c>
    </row>
    <row r="8" spans="1:6" x14ac:dyDescent="0.3">
      <c r="A8" t="s">
        <v>24</v>
      </c>
      <c r="B8" s="6">
        <v>45261</v>
      </c>
      <c r="C8" t="s">
        <v>17</v>
      </c>
      <c r="D8" t="s">
        <v>22</v>
      </c>
      <c r="E8">
        <v>7.0000000000000007E-2</v>
      </c>
      <c r="F8" s="7">
        <v>0.88</v>
      </c>
    </row>
    <row r="9" spans="1:6" x14ac:dyDescent="0.3">
      <c r="A9" t="s">
        <v>23</v>
      </c>
      <c r="B9" s="6">
        <v>45261</v>
      </c>
      <c r="C9" t="s">
        <v>17</v>
      </c>
      <c r="D9" t="s">
        <v>22</v>
      </c>
      <c r="E9">
        <v>0.14000000000000001</v>
      </c>
      <c r="F9" s="7">
        <v>1.76</v>
      </c>
    </row>
    <row r="10" spans="1:6" x14ac:dyDescent="0.3">
      <c r="A10" t="s">
        <v>21</v>
      </c>
      <c r="B10" s="6">
        <v>45261</v>
      </c>
      <c r="C10" t="s">
        <v>17</v>
      </c>
      <c r="D10" t="s">
        <v>19</v>
      </c>
      <c r="E10">
        <v>4.0000000000000001E-3</v>
      </c>
      <c r="F10" s="4">
        <f>E10*12.76</f>
        <v>5.1040000000000002E-2</v>
      </c>
    </row>
    <row r="11" spans="1:6" x14ac:dyDescent="0.3">
      <c r="A11" t="s">
        <v>20</v>
      </c>
      <c r="B11" s="6">
        <v>45261</v>
      </c>
      <c r="C11" t="s">
        <v>17</v>
      </c>
      <c r="D11" t="s">
        <v>19</v>
      </c>
      <c r="E11">
        <v>5.0000000000000001E-3</v>
      </c>
      <c r="F11" s="4">
        <f>E11*12.76</f>
        <v>6.3799999999999996E-2</v>
      </c>
    </row>
    <row r="12" spans="1:6" x14ac:dyDescent="0.3">
      <c r="A12" t="s">
        <v>18</v>
      </c>
      <c r="B12" s="6">
        <v>45261</v>
      </c>
      <c r="C12" t="s">
        <v>17</v>
      </c>
      <c r="D12" t="s">
        <v>9</v>
      </c>
      <c r="E12">
        <v>0.15</v>
      </c>
      <c r="F12" s="7">
        <v>1.89</v>
      </c>
    </row>
    <row r="13" spans="1:6" x14ac:dyDescent="0.3">
      <c r="D13" s="3" t="s">
        <v>0</v>
      </c>
      <c r="E13" s="3">
        <f>SUM(E7:E12)</f>
        <v>0.54900000000000004</v>
      </c>
      <c r="F13" s="8">
        <f>SUM(F7:F12)</f>
        <v>6.9148399999999999</v>
      </c>
    </row>
    <row r="15" spans="1:6" x14ac:dyDescent="0.3">
      <c r="A15" s="3" t="s">
        <v>16</v>
      </c>
      <c r="B15" s="3" t="s">
        <v>15</v>
      </c>
      <c r="C15" s="3" t="s">
        <v>14</v>
      </c>
      <c r="D15" s="3" t="s">
        <v>13</v>
      </c>
      <c r="E15" s="3" t="s">
        <v>12</v>
      </c>
      <c r="F15" s="3" t="s">
        <v>3</v>
      </c>
    </row>
    <row r="16" spans="1:6" x14ac:dyDescent="0.3">
      <c r="A16" t="s">
        <v>11</v>
      </c>
      <c r="B16" s="6">
        <v>45231</v>
      </c>
      <c r="C16" t="s">
        <v>10</v>
      </c>
      <c r="D16" t="s">
        <v>9</v>
      </c>
      <c r="E16">
        <v>0.45</v>
      </c>
      <c r="F16" s="7">
        <v>5.67</v>
      </c>
    </row>
    <row r="17" spans="1:6" x14ac:dyDescent="0.3">
      <c r="D17" s="3" t="s">
        <v>0</v>
      </c>
      <c r="E17" s="3">
        <f>SUM(E16:E16)</f>
        <v>0.45</v>
      </c>
      <c r="F17" s="1">
        <f>SUM(F16:F16)</f>
        <v>5.67</v>
      </c>
    </row>
    <row r="19" spans="1:6" x14ac:dyDescent="0.3">
      <c r="A19" s="3" t="s">
        <v>8</v>
      </c>
      <c r="B19" s="3" t="s">
        <v>7</v>
      </c>
      <c r="C19" s="3" t="s">
        <v>6</v>
      </c>
      <c r="D19" s="3" t="s">
        <v>5</v>
      </c>
      <c r="E19" s="3" t="s">
        <v>4</v>
      </c>
      <c r="F19" s="3" t="s">
        <v>3</v>
      </c>
    </row>
    <row r="20" spans="1:6" x14ac:dyDescent="0.3">
      <c r="A20" s="6">
        <v>45231</v>
      </c>
      <c r="B20">
        <f>45+41</f>
        <v>86</v>
      </c>
      <c r="C20">
        <f>392+244</f>
        <v>636</v>
      </c>
      <c r="D20">
        <f>2844+1844</f>
        <v>4688</v>
      </c>
      <c r="E20" s="5">
        <f>((D20/60)*0.05)*0.001</f>
        <v>3.9066666666666677E-3</v>
      </c>
      <c r="F20" s="4">
        <f>E20*12.76</f>
        <v>4.9849066666666678E-2</v>
      </c>
    </row>
    <row r="21" spans="1:6" x14ac:dyDescent="0.3">
      <c r="A21" s="6">
        <v>45261</v>
      </c>
      <c r="B21">
        <f>19+21</f>
        <v>40</v>
      </c>
      <c r="C21">
        <f>201+21</f>
        <v>222</v>
      </c>
      <c r="D21">
        <f>1619+824</f>
        <v>2443</v>
      </c>
      <c r="E21" s="5">
        <f>((D21/60)*0.05)*0.001</f>
        <v>2.0358333333333335E-3</v>
      </c>
      <c r="F21" s="4">
        <f>E21*12.76</f>
        <v>2.5977233333333336E-2</v>
      </c>
    </row>
    <row r="22" spans="1:6" x14ac:dyDescent="0.3">
      <c r="A22" s="6">
        <v>44927</v>
      </c>
      <c r="B22">
        <f>9+60+49</f>
        <v>118</v>
      </c>
      <c r="C22">
        <f>261+639 + 21</f>
        <v>921</v>
      </c>
      <c r="D22">
        <v>2334</v>
      </c>
      <c r="E22" s="5">
        <f>((D22/60)*0.05)*0.001</f>
        <v>1.9450000000000001E-3</v>
      </c>
      <c r="F22" s="4">
        <f>E22*12.76</f>
        <v>2.4818200000000002E-2</v>
      </c>
    </row>
    <row r="23" spans="1:6" x14ac:dyDescent="0.3">
      <c r="D23" s="3" t="s">
        <v>0</v>
      </c>
      <c r="E23" s="2">
        <f>SUM(E19:E22)</f>
        <v>7.8875000000000021E-3</v>
      </c>
      <c r="F23" s="1">
        <f>SUM(F19:F22)</f>
        <v>0.10064450000000001</v>
      </c>
    </row>
    <row r="24" spans="1:6" x14ac:dyDescent="0.3">
      <c r="D24" s="3"/>
      <c r="E24" s="2"/>
      <c r="F24" s="1"/>
    </row>
    <row r="25" spans="1:6" x14ac:dyDescent="0.3">
      <c r="A25" s="11" t="s">
        <v>2</v>
      </c>
      <c r="B25" s="12"/>
      <c r="C25" s="12"/>
      <c r="D25" s="12" t="s">
        <v>0</v>
      </c>
      <c r="E25" s="13">
        <f>E13+E17+E23</f>
        <v>1.0068875000000002</v>
      </c>
      <c r="F25" s="14">
        <f>F13+F17+F23</f>
        <v>12.685484499999999</v>
      </c>
    </row>
    <row r="26" spans="1:6" x14ac:dyDescent="0.3">
      <c r="D26" s="3"/>
      <c r="E26" s="2"/>
      <c r="F26" s="1"/>
    </row>
    <row r="27" spans="1:6" x14ac:dyDescent="0.3">
      <c r="A27" s="11" t="s">
        <v>1</v>
      </c>
      <c r="B27" s="17"/>
      <c r="C27" s="17"/>
      <c r="D27" s="12" t="s">
        <v>0</v>
      </c>
      <c r="E27" s="13">
        <f>E3+E25</f>
        <v>23.395687500000001</v>
      </c>
      <c r="F27" s="14">
        <f>F3+F25</f>
        <v>297.17548449999998</v>
      </c>
    </row>
    <row r="29" spans="1:6" x14ac:dyDescent="0.3">
      <c r="A29" t="s">
        <v>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E2F18-B150-43F9-872F-4E4C95C952AE}">
  <dimension ref="A1:F28"/>
  <sheetViews>
    <sheetView workbookViewId="0">
      <selection activeCell="B31" sqref="B31"/>
    </sheetView>
  </sheetViews>
  <sheetFormatPr defaultRowHeight="14.4" x14ac:dyDescent="0.3"/>
  <cols>
    <col min="1" max="1" width="22.5546875" customWidth="1"/>
    <col min="2" max="2" width="18.6640625" customWidth="1"/>
    <col min="3" max="3" width="28.5546875" customWidth="1"/>
    <col min="4" max="4" width="14.21875" customWidth="1"/>
    <col min="5" max="5" width="22.5546875" customWidth="1"/>
    <col min="6" max="6" width="33.21875" customWidth="1"/>
  </cols>
  <sheetData>
    <row r="1" spans="1:6" x14ac:dyDescent="0.3">
      <c r="A1" s="9" t="s">
        <v>31</v>
      </c>
      <c r="B1" s="10"/>
      <c r="C1" s="10"/>
      <c r="D1" s="10"/>
      <c r="E1" s="10"/>
      <c r="F1" s="10"/>
    </row>
    <row r="3" spans="1:6" x14ac:dyDescent="0.3">
      <c r="A3" s="9" t="s">
        <v>77</v>
      </c>
      <c r="B3" s="9"/>
      <c r="C3" s="9"/>
      <c r="D3" s="9"/>
      <c r="E3" s="15"/>
      <c r="F3" s="16"/>
    </row>
    <row r="4" spans="1:6" x14ac:dyDescent="0.3">
      <c r="A4" s="3" t="s">
        <v>28</v>
      </c>
      <c r="B4" s="3" t="s">
        <v>15</v>
      </c>
      <c r="C4" s="3" t="s">
        <v>14</v>
      </c>
      <c r="D4" s="3" t="s">
        <v>13</v>
      </c>
      <c r="E4" s="3" t="s">
        <v>12</v>
      </c>
      <c r="F4" s="3" t="s">
        <v>3</v>
      </c>
    </row>
    <row r="5" spans="1:6" x14ac:dyDescent="0.3">
      <c r="A5" t="s">
        <v>32</v>
      </c>
      <c r="B5" t="s">
        <v>33</v>
      </c>
      <c r="C5" t="s">
        <v>34</v>
      </c>
      <c r="D5" t="s">
        <v>9</v>
      </c>
      <c r="E5">
        <v>4.71</v>
      </c>
      <c r="F5" s="7">
        <v>60.09</v>
      </c>
    </row>
    <row r="6" spans="1:6" x14ac:dyDescent="0.3">
      <c r="A6" t="s">
        <v>35</v>
      </c>
      <c r="B6" s="6">
        <v>45170</v>
      </c>
      <c r="C6" t="s">
        <v>36</v>
      </c>
      <c r="D6" t="s">
        <v>9</v>
      </c>
      <c r="E6">
        <v>4.93</v>
      </c>
      <c r="F6" s="7">
        <v>62.9</v>
      </c>
    </row>
    <row r="7" spans="1:6" x14ac:dyDescent="0.3">
      <c r="A7" t="s">
        <v>37</v>
      </c>
      <c r="B7" s="6">
        <v>45170</v>
      </c>
      <c r="C7" t="s">
        <v>38</v>
      </c>
      <c r="D7" t="s">
        <v>9</v>
      </c>
      <c r="E7">
        <v>0.82</v>
      </c>
      <c r="F7" s="7">
        <v>10.46</v>
      </c>
    </row>
    <row r="8" spans="1:6" x14ac:dyDescent="0.3">
      <c r="A8" t="s">
        <v>39</v>
      </c>
      <c r="B8" s="6">
        <v>45200</v>
      </c>
      <c r="C8" t="s">
        <v>40</v>
      </c>
      <c r="D8" t="s">
        <v>9</v>
      </c>
      <c r="E8">
        <v>0.18</v>
      </c>
      <c r="F8" s="7">
        <v>2.2999999999999998</v>
      </c>
    </row>
    <row r="9" spans="1:6" x14ac:dyDescent="0.3">
      <c r="A9" t="s">
        <v>41</v>
      </c>
      <c r="B9" s="6">
        <v>45170</v>
      </c>
      <c r="C9" t="s">
        <v>42</v>
      </c>
      <c r="D9" t="s">
        <v>9</v>
      </c>
      <c r="E9">
        <v>1.72</v>
      </c>
      <c r="F9" s="7">
        <v>21.4</v>
      </c>
    </row>
    <row r="10" spans="1:6" x14ac:dyDescent="0.3">
      <c r="A10" t="s">
        <v>23</v>
      </c>
      <c r="B10" s="6">
        <v>45170</v>
      </c>
      <c r="C10" t="s">
        <v>43</v>
      </c>
      <c r="D10" t="s">
        <v>9</v>
      </c>
      <c r="E10">
        <v>0.23</v>
      </c>
      <c r="F10" s="7">
        <v>2.92</v>
      </c>
    </row>
    <row r="11" spans="1:6" x14ac:dyDescent="0.3">
      <c r="D11" s="3" t="s">
        <v>0</v>
      </c>
      <c r="E11" s="3">
        <f>SUM(E5:E10)</f>
        <v>12.590000000000002</v>
      </c>
      <c r="F11" s="8">
        <f>SUM(F5:F10)</f>
        <v>160.07000000000002</v>
      </c>
    </row>
    <row r="13" spans="1:6" x14ac:dyDescent="0.3">
      <c r="A13" s="3" t="s">
        <v>16</v>
      </c>
      <c r="B13" s="3" t="s">
        <v>15</v>
      </c>
      <c r="C13" s="3" t="s">
        <v>14</v>
      </c>
      <c r="D13" s="3" t="s">
        <v>13</v>
      </c>
      <c r="E13" s="3" t="s">
        <v>12</v>
      </c>
      <c r="F13" s="3" t="s">
        <v>3</v>
      </c>
    </row>
    <row r="14" spans="1:6" x14ac:dyDescent="0.3">
      <c r="A14" t="s">
        <v>44</v>
      </c>
      <c r="B14" s="6">
        <v>45170</v>
      </c>
      <c r="C14" t="s">
        <v>45</v>
      </c>
      <c r="D14" t="s">
        <v>9</v>
      </c>
      <c r="E14">
        <v>3.6</v>
      </c>
      <c r="F14" s="7">
        <v>45.71</v>
      </c>
    </row>
    <row r="15" spans="1:6" x14ac:dyDescent="0.3">
      <c r="A15" t="s">
        <v>46</v>
      </c>
      <c r="B15" s="6">
        <v>45170</v>
      </c>
      <c r="C15" t="s">
        <v>45</v>
      </c>
      <c r="D15" t="s">
        <v>9</v>
      </c>
      <c r="E15">
        <v>3.6</v>
      </c>
      <c r="F15" s="7">
        <v>45.71</v>
      </c>
    </row>
    <row r="16" spans="1:6" x14ac:dyDescent="0.3">
      <c r="A16" t="s">
        <v>47</v>
      </c>
      <c r="B16" s="6">
        <v>45170</v>
      </c>
      <c r="C16" t="s">
        <v>48</v>
      </c>
      <c r="D16" t="s">
        <v>9</v>
      </c>
      <c r="E16">
        <v>0.87</v>
      </c>
      <c r="F16" s="7">
        <v>11.05</v>
      </c>
    </row>
    <row r="17" spans="1:6" x14ac:dyDescent="0.3">
      <c r="A17" t="s">
        <v>49</v>
      </c>
      <c r="B17" s="6">
        <v>45170</v>
      </c>
      <c r="C17" t="s">
        <v>50</v>
      </c>
      <c r="D17" t="s">
        <v>9</v>
      </c>
      <c r="E17">
        <v>1.72</v>
      </c>
      <c r="F17" s="7">
        <v>21.84</v>
      </c>
    </row>
    <row r="18" spans="1:6" x14ac:dyDescent="0.3">
      <c r="D18" s="3" t="s">
        <v>0</v>
      </c>
      <c r="E18" s="3">
        <f>SUM(E14:E17)</f>
        <v>9.7900000000000009</v>
      </c>
      <c r="F18" s="1">
        <f>SUM(F14:F17)</f>
        <v>124.31</v>
      </c>
    </row>
    <row r="20" spans="1:6" x14ac:dyDescent="0.3">
      <c r="A20" s="3" t="s">
        <v>8</v>
      </c>
      <c r="B20" s="3" t="s">
        <v>7</v>
      </c>
      <c r="C20" s="3" t="s">
        <v>6</v>
      </c>
      <c r="D20" s="3" t="s">
        <v>5</v>
      </c>
      <c r="E20" s="3" t="s">
        <v>4</v>
      </c>
      <c r="F20" s="3" t="s">
        <v>3</v>
      </c>
    </row>
    <row r="21" spans="1:6" x14ac:dyDescent="0.3">
      <c r="A21" s="6">
        <v>45139</v>
      </c>
      <c r="B21">
        <f>34+27</f>
        <v>61</v>
      </c>
      <c r="C21">
        <f>147+183</f>
        <v>330</v>
      </c>
      <c r="D21">
        <f>1225+1278</f>
        <v>2503</v>
      </c>
      <c r="E21" s="5">
        <f>((D21/60)*0.05)*0.001</f>
        <v>2.0858333333333336E-3</v>
      </c>
      <c r="F21" s="4">
        <f>E21*12.76</f>
        <v>2.6615233333333335E-2</v>
      </c>
    </row>
    <row r="22" spans="1:6" x14ac:dyDescent="0.3">
      <c r="A22" s="6">
        <v>45170</v>
      </c>
      <c r="B22">
        <f>40+32</f>
        <v>72</v>
      </c>
      <c r="C22">
        <f>237+332</f>
        <v>569</v>
      </c>
      <c r="D22">
        <f>1838+2029</f>
        <v>3867</v>
      </c>
      <c r="E22" s="5">
        <f t="shared" ref="E22:E23" si="0">((D22/60)*0.05)*0.001</f>
        <v>3.2225000000000001E-3</v>
      </c>
      <c r="F22" s="4">
        <f t="shared" ref="F22:F23" si="1">E22*12.76</f>
        <v>4.1119099999999999E-2</v>
      </c>
    </row>
    <row r="23" spans="1:6" x14ac:dyDescent="0.3">
      <c r="A23" s="6">
        <v>45200</v>
      </c>
      <c r="B23">
        <f>36+40</f>
        <v>76</v>
      </c>
      <c r="C23">
        <f>207+657</f>
        <v>864</v>
      </c>
      <c r="D23">
        <f>1765+2474</f>
        <v>4239</v>
      </c>
      <c r="E23" s="5">
        <f t="shared" si="0"/>
        <v>3.5325000000000009E-3</v>
      </c>
      <c r="F23" s="4">
        <f t="shared" si="1"/>
        <v>4.5074700000000009E-2</v>
      </c>
    </row>
    <row r="24" spans="1:6" x14ac:dyDescent="0.3">
      <c r="D24" s="3" t="s">
        <v>0</v>
      </c>
      <c r="E24" s="2">
        <f>SUM(E20:E23)</f>
        <v>8.8408333333333342E-3</v>
      </c>
      <c r="F24" s="1">
        <f>SUM(F20:F23)</f>
        <v>0.11280903333333335</v>
      </c>
    </row>
    <row r="26" spans="1:6" x14ac:dyDescent="0.3">
      <c r="A26" s="9" t="s">
        <v>30</v>
      </c>
      <c r="B26" s="9"/>
      <c r="C26" s="9"/>
      <c r="D26" s="9" t="s">
        <v>0</v>
      </c>
      <c r="E26" s="15">
        <f>E11+E18+E24</f>
        <v>22.388840833333337</v>
      </c>
      <c r="F26" s="16">
        <f>F11+F18+F24</f>
        <v>284.49280903333334</v>
      </c>
    </row>
    <row r="28" spans="1:6" x14ac:dyDescent="0.3">
      <c r="A2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Quarter 4</vt:lpstr>
      <vt:lpstr>Quarter 3</vt:lpstr>
      <vt:lpstr>Quarter 2</vt:lpstr>
      <vt:lpstr>Quarter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McMillan</dc:creator>
  <cp:lastModifiedBy>John McMillan</cp:lastModifiedBy>
  <dcterms:created xsi:type="dcterms:W3CDTF">2024-02-28T09:28:20Z</dcterms:created>
  <dcterms:modified xsi:type="dcterms:W3CDTF">2024-11-28T04:40:01Z</dcterms:modified>
</cp:coreProperties>
</file>